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harts/colors3.xml" ContentType="application/vnd.ms-office.chartcolorstyle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3.xml" ContentType="application/vnd.ms-office.chart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DCF Model" sheetId="2" state="visible" r:id="rId4"/>
    <sheet name="Sensitivity" sheetId="3" state="visible" r:id="rId5"/>
    <sheet name="Char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<sst xmlns="http://schemas.openxmlformats.org/spreadsheetml/2006/main" count="101" uniqueCount="98">
  <si>
    <t xml:space="preserve">BMW Group (ETR: BMW) — DCF Model Assumptions</t>
  </si>
  <si>
    <t xml:space="preserve">Automotive segment DCF | figures in € millions unless noted | built Aug 2026</t>
  </si>
  <si>
    <t xml:space="preserve">Market Data</t>
  </si>
  <si>
    <t xml:space="preserve">Current Share Price (€)</t>
  </si>
  <si>
    <t xml:space="preserve">Source: stockanalysis.com, ETR:BMW close, 5 Aug 2026</t>
  </si>
  <si>
    <t xml:space="preserve">Shares Outstanding (mm)</t>
  </si>
  <si>
    <t xml:space="preserve">Source: stockanalysis.com; reflects May 2026 preferred-to-ordinary share conversion</t>
  </si>
  <si>
    <t xml:space="preserve">Beta (5Y, vs. local index)</t>
  </si>
  <si>
    <t xml:space="preserve">Source: stockanalysis.com key statistics</t>
  </si>
  <si>
    <t xml:space="preserve">Analyst Avg. Price Target (€)</t>
  </si>
  <si>
    <t xml:space="preserve">Source: stockanalysis.com consensus, Aug 2026</t>
  </si>
  <si>
    <t xml:space="preserve">Implied Market Cap (€ mm)</t>
  </si>
  <si>
    <t xml:space="preserve">Cost of Capital (WACC) Build</t>
  </si>
  <si>
    <t xml:space="preserve">Risk-Free Rate (German 10Y Bund)</t>
  </si>
  <si>
    <t xml:space="preserve">Source: tradingeconomics.com, German 10Y yield, 4 Aug 2026</t>
  </si>
  <si>
    <t xml:space="preserve">Equity Risk Premium (Europe autos, incl. cyclical/EV-transition premium)</t>
  </si>
  <si>
    <t xml:space="preserve">Assumption: ~5.5% generic mature-market ERP (Damodaran-style) plus ~1.5pt company/sector premium for tariff and EV-transition risk</t>
  </si>
  <si>
    <t xml:space="preserve">Beta (linked)</t>
  </si>
  <si>
    <t xml:space="preserve">Cost of Equity</t>
  </si>
  <si>
    <t xml:space="preserve">Pre-Tax Cost of Debt (BMW industrial, A-rated)</t>
  </si>
  <si>
    <t xml:space="preserve">Assumption: approximate spread for A/A2-rated industrial issuer over Bund</t>
  </si>
  <si>
    <t xml:space="preserve">Tax Rate (German combined corporate rate)</t>
  </si>
  <si>
    <t xml:space="preserve">Assumption: ~30% combined corporate + trade tax rate, Germany</t>
  </si>
  <si>
    <t xml:space="preserve">After-Tax Cost of Debt</t>
  </si>
  <si>
    <t xml:space="preserve">Target Equity Weight</t>
  </si>
  <si>
    <t xml:space="preserve">Assumption: industrial-business capital structure (excl. Financial Services captive debt)</t>
  </si>
  <si>
    <t xml:space="preserve">Target Debt Weight</t>
  </si>
  <si>
    <t xml:space="preserve">WACC</t>
  </si>
  <si>
    <t xml:space="preserve">Terminal Value &amp; Operating Assumptions</t>
  </si>
  <si>
    <t xml:space="preserve">Exit EV/EBITDA Multiple (Terminal Year)</t>
  </si>
  <si>
    <t xml:space="preserve">Assumption: cross-checked vs. peer forward EV/EBITDA — Volkswagen 3.8x, Mercedes-Benz 7.4x (stockanalysis.com/multiples.vc, Aug 2026). Set below VW to reflect BMW's larger near-term tariff EBIT drag. A Gordon-Growth terminal value was tested first and implied &gt;120% upside — not credible for a capital-intensive, cyclical OEM — so this model anchors Terminal Value to an observable peer multiple instead.</t>
  </si>
  <si>
    <t xml:space="preserve">D&amp;A (% of Automotive revenue, flat)</t>
  </si>
  <si>
    <t xml:space="preserve">Assumption: normalized D&amp;A run-rate for a mature capital-intensive OEM</t>
  </si>
  <si>
    <t xml:space="preserve">Increase in NWC (% of incremental revenue)</t>
  </si>
  <si>
    <t xml:space="preserve">Assumption: modest working-capital drag as revenue scales</t>
  </si>
  <si>
    <t xml:space="preserve">Automotive Segment Net Debt / (Net Cash) (€ mm)</t>
  </si>
  <si>
    <t xml:space="preserve">Simplifying assumption: BMW's captive-finance model means industrial (ex-Financial Services) net debt isn't cleanly disclosed; modeled as net-debt-neutral, consistent with BMW's stated investment-grade balance-sheet policy — EV ≈ equity value here.</t>
  </si>
  <si>
    <t xml:space="preserve">FY2025A Actuals — Automotive Segment</t>
  </si>
  <si>
    <t xml:space="preserve">FY2025A Revenue (€ mm)</t>
  </si>
  <si>
    <t xml:space="preserve">Source: BMW Group FY2025 results press release, press.bmwgroup.com</t>
  </si>
  <si>
    <t xml:space="preserve">FY2025A EBIT Margin</t>
  </si>
  <si>
    <t xml:space="preserve">Source: BMW Group FY2025 results — Automotive EBIT margin 5.3%, within 5-7% guided range</t>
  </si>
  <si>
    <t xml:space="preserve">FY2025A Capex (% of revenue)</t>
  </si>
  <si>
    <t xml:space="preserve">Source: BMW Group FY2025 results — Automotive capex €7,237mm = 5.4% of segment revenue</t>
  </si>
  <si>
    <t xml:space="preserve">FY2026 Company Guidance (context, not directly modeled)</t>
  </si>
  <si>
    <t xml:space="preserve">FY2026E EBIT Margin Guidance</t>
  </si>
  <si>
    <t xml:space="preserve">4-6%</t>
  </si>
  <si>
    <t xml:space="preserve">Source: BMW Group FY2025 results release — tariff headwinds cut guidance from prior 5-7% range</t>
  </si>
  <si>
    <t xml:space="preserve">FY2026E Deliveries</t>
  </si>
  <si>
    <t xml:space="preserve">~Flat YoY</t>
  </si>
  <si>
    <t xml:space="preserve">Source: BMW Group FY2025 results release</t>
  </si>
  <si>
    <t xml:space="preserve">FY2026E Automotive FCF Guidance (€ mm)</t>
  </si>
  <si>
    <t xml:space="preserve">&gt;4,500</t>
  </si>
  <si>
    <t xml:space="preserve">BMW Group — Automotive Segment DCF</t>
  </si>
  <si>
    <t xml:space="preserve">€ millions unless noted | FY2025A actual, FY2026E–FY2030E projected</t>
  </si>
  <si>
    <t xml:space="preserve">FY2025A</t>
  </si>
  <si>
    <t xml:space="preserve">FY2026E</t>
  </si>
  <si>
    <t xml:space="preserve">FY2027E</t>
  </si>
  <si>
    <t xml:space="preserve">FY2028E</t>
  </si>
  <si>
    <t xml:space="preserve">FY2029E</t>
  </si>
  <si>
    <t xml:space="preserve">FY2030E</t>
  </si>
  <si>
    <t xml:space="preserve">Revenue Growth %</t>
  </si>
  <si>
    <t xml:space="preserve">—</t>
  </si>
  <si>
    <t xml:space="preserve">Revenue</t>
  </si>
  <si>
    <t xml:space="preserve">EBIT Margin %</t>
  </si>
  <si>
    <t xml:space="preserve">EBIT</t>
  </si>
  <si>
    <t xml:space="preserve">Tax Rate</t>
  </si>
  <si>
    <t xml:space="preserve">NOPAT</t>
  </si>
  <si>
    <t xml:space="preserve">(+) D&amp;A</t>
  </si>
  <si>
    <t xml:space="preserve">Capex % of Revenue</t>
  </si>
  <si>
    <t xml:space="preserve">(–) Capex</t>
  </si>
  <si>
    <t xml:space="preserve">(–) Increase in NWC</t>
  </si>
  <si>
    <t xml:space="preserve">Unlevered Free Cash Flow</t>
  </si>
  <si>
    <t xml:space="preserve">Discount Period (t)</t>
  </si>
  <si>
    <t xml:space="preserve">Discount Factor</t>
  </si>
  <si>
    <t xml:space="preserve">PV of FCF</t>
  </si>
  <si>
    <t xml:space="preserve">Valuation Bridge (€ mm, except per-share)</t>
  </si>
  <si>
    <t xml:space="preserve">Sum of PV of FCF (FY26E–FY30E)</t>
  </si>
  <si>
    <t xml:space="preserve">Terminal Year EBITDA (FY2030E = EBIT + D&amp;A)</t>
  </si>
  <si>
    <t xml:space="preserve">Terminal Value (Exit EV/EBITDA multiple × FY2030E EBITDA)</t>
  </si>
  <si>
    <t xml:space="preserve">PV of Terminal Value</t>
  </si>
  <si>
    <t xml:space="preserve">Enterprise Value</t>
  </si>
  <si>
    <t xml:space="preserve">(–) Net Debt / (Net Cash)</t>
  </si>
  <si>
    <t xml:space="preserve">Implied Equity Value</t>
  </si>
  <si>
    <t xml:space="preserve">Implied Value per Share (€)</t>
  </si>
  <si>
    <t xml:space="preserve">Comparison to Market</t>
  </si>
  <si>
    <t xml:space="preserve">Implied Upside / (Downside)</t>
  </si>
  <si>
    <t xml:space="preserve">Street Avg. Price Target (€)</t>
  </si>
  <si>
    <t xml:space="preserve">Recommendation</t>
  </si>
  <si>
    <t xml:space="preserve">Sensitivity — Implied Value per Share (€)</t>
  </si>
  <si>
    <t xml:space="preserve">WACC (rows) vs. Exit EV/EBITDA Multiple (columns) — recomputes the DCF's FY26E–FY30E FCF stream and FY2030E terminal EBITDA at each scenario</t>
  </si>
  <si>
    <t xml:space="preserve">WACC \ Exit Multiple</t>
  </si>
  <si>
    <t xml:space="preserve">Base case (center cell) uses the Assumptions-tab WACC and exit multiple; current share price €59.10 for reference.</t>
  </si>
  <si>
    <t xml:space="preserve">BMW Automotive Segment — Supporting Charts</t>
  </si>
  <si>
    <t xml:space="preserve">Valuation Comparison</t>
  </si>
  <si>
    <t xml:space="preserve">Current Price</t>
  </si>
  <si>
    <t xml:space="preserve">DCF Implied Value</t>
  </si>
  <si>
    <t xml:space="preserve">Street Avg. Target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</si>
</sst>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"/>
    <numFmt numFmtId="166" formatCode="#,##0.0"/>
    <numFmt numFmtId="167" formatCode="#,##0"/>
    <numFmt numFmtId="168" formatCode="0.00%"/>
    <numFmt numFmtId="169" formatCode="0.0%"/>
    <numFmt numFmtId="170" formatCode="0%"/>
    <numFmt numFmtId="171" formatCode="0.0\x"/>
    <numFmt numFmtId="172" formatCode="0"/>
    <numFmt numFmtId="173" formatCode="0.0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1F1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F1F1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FFFF00"/>
        <bgColor rgb="FFFFFF00"/>
      </patternFill>
    </fill>
    <fill>
      <patternFill patternType="solid">
        <fgColor rgb="FF404040"/>
        <bgColor rgb="FF1F3864"/>
      </patternFill>
    </fill>
    <fill>
      <patternFill patternType="solid">
        <fgColor rgb="FFD9E2F3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9B49"/>
      <rgbColor rgb="FF8064A2"/>
      <rgbColor rgb="FF4299B0"/>
      <rgbColor rgb="FFB7B7B7"/>
      <rgbColor rgb="FF808080"/>
      <rgbColor rgb="FF8EA5CA"/>
      <rgbColor rgb="FF9F423F"/>
      <rgbColor rgb="FFF9F9F9"/>
      <rgbColor rgb="FFD9E2F3"/>
      <rgbColor rgb="FF660066"/>
      <rgbColor rgb="FFDC853E"/>
      <rgbColor rgb="FF416A9C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878787"/>
      <rgbColor rgb="FFB3C992"/>
      <rgbColor rgb="FFC5D6AC"/>
      <rgbColor rgb="FF8AA64F"/>
      <rgbColor rgb="FF8CBFD2"/>
      <rgbColor rgb="FFD8AAA9"/>
      <rgbColor rgb="FFAABAD7"/>
      <rgbColor rgb="FFF5B089"/>
      <rgbColor rgb="FF4672A8"/>
      <rgbColor rgb="FF4BACC6"/>
      <rgbColor rgb="FF9BBB59"/>
      <rgbColor rgb="FFCC8F8E"/>
      <rgbColor rgb="FFF79646"/>
      <rgbColor rgb="FFCC7C3A"/>
      <rgbColor rgb="FF725990"/>
      <rgbColor rgb="FFA596B9"/>
      <rgbColor rgb="FF1F3864"/>
      <rgbColor rgb="FF3E8EA4"/>
      <rgbColor rgb="FF003300"/>
      <rgbColor rgb="FF1F1F1F"/>
      <rgbColor rgb="FFC0504D"/>
      <rgbColor rgb="FFAB4744"/>
      <rgbColor rgb="FF6A528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Automotive Revenue (€mm) &amp; EBIT Margin (%)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"Revenue (€mm)"</c:f>
              <c:strCache>
                <c:ptCount val="1"/>
                <c:pt idx="0">
                  <c:v>Revenue (€mm)</c:v>
                </c:pt>
              </c:strCache>
            </c:strRef>
          </c:tx>
          <c:spPr>
            <a:solidFill>
              <a:srgbClr val="4672A8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Model'!$C$6</c:f>
              <c:numCache>
                <c:formatCode>#,##0</c:formatCode>
                <c:ptCount val="1"/>
                <c:pt idx="0">
                  <c:v>117557</c:v>
                </c:pt>
              </c:numCache>
            </c:numRef>
          </c:val>
        </c:ser>
        <c:ser>
          <c:idx val="1"/>
          <c:order val="1"/>
          <c:spPr>
            <a:solidFill>
              <a:srgbClr val="AB4744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Model'!$D$6</c:f>
              <c:numCache>
                <c:formatCode>#,##0</c:formatCode>
                <c:ptCount val="1"/>
                <c:pt idx="0">
                  <c:v>118732.57</c:v>
                </c:pt>
              </c:numCache>
            </c:numRef>
          </c:val>
        </c:ser>
        <c:ser>
          <c:idx val="2"/>
          <c:order val="2"/>
          <c:spPr>
            <a:solidFill>
              <a:srgbClr val="8AA64F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Model'!$E$6</c:f>
              <c:numCache>
                <c:formatCode>#,##0</c:formatCode>
                <c:ptCount val="1"/>
                <c:pt idx="0">
                  <c:v>121107.2214</c:v>
                </c:pt>
              </c:numCache>
            </c:numRef>
          </c:val>
        </c:ser>
        <c:ser>
          <c:idx val="3"/>
          <c:order val="3"/>
          <c:spPr>
            <a:solidFill>
              <a:srgbClr val="725990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Model'!$F$6</c:f>
              <c:numCache>
                <c:formatCode>#,##0</c:formatCode>
                <c:ptCount val="1"/>
                <c:pt idx="0">
                  <c:v>123529.365828</c:v>
                </c:pt>
              </c:numCache>
            </c:numRef>
          </c:val>
        </c:ser>
        <c:ser>
          <c:idx val="4"/>
          <c:order val="4"/>
          <c:spPr>
            <a:solidFill>
              <a:srgbClr val="4299B0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Model'!$G$6</c:f>
              <c:numCache>
                <c:formatCode>#,##0</c:formatCode>
                <c:ptCount val="1"/>
                <c:pt idx="0">
                  <c:v>126617.5999737</c:v>
                </c:pt>
              </c:numCache>
            </c:numRef>
          </c:val>
        </c:ser>
        <c:ser>
          <c:idx val="5"/>
          <c:order val="5"/>
          <c:spPr>
            <a:solidFill>
              <a:srgbClr val="DC853E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Model'!$H$6</c:f>
              <c:numCache>
                <c:formatCode>#,##0</c:formatCode>
                <c:ptCount val="1"/>
                <c:pt idx="0">
                  <c:v>129783.039973042</c:v>
                </c:pt>
              </c:numCache>
            </c:numRef>
          </c:val>
        </c:ser>
        <c:gapWidth val="150"/>
        <c:overlap val="0"/>
        <c:axId val="54827932"/>
        <c:axId val="33782521"/>
      </c:barChart>
      <c:lineChart>
        <c:grouping val="standard"/>
        <c:varyColors val="0"/>
        <c:ser>
          <c:idx val="6"/>
          <c:order val="6"/>
          <c:tx>
            <c:strRef>
              <c:f>"EBIT Margin %"</c:f>
              <c:strCache>
                <c:ptCount val="1"/>
                <c:pt idx="0">
                  <c:v>EBIT Margin %</c:v>
                </c:pt>
              </c:strCache>
            </c:strRef>
          </c:tx>
          <c:spPr>
            <a:solidFill>
              <a:srgbClr val="8EA5CA"/>
            </a:solidFill>
            <a:ln w="12600">
              <a:solidFill>
                <a:srgbClr val="8EA5CA"/>
              </a:solidFill>
              <a:round/>
            </a:ln>
          </c:spPr>
          <c:marker>
            <c:symbol val="circle"/>
            <c:size val="6"/>
            <c:spPr>
              <a:solidFill>
                <a:srgbClr val="8EA5CA"/>
              </a:solidFill>
            </c:spPr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Model'!$C$7</c:f>
              <c:numCache>
                <c:formatCode>0.0%</c:formatCode>
                <c:ptCount val="1"/>
                <c:pt idx="0">
                  <c:v>0.053</c:v>
                </c:pt>
              </c:numCache>
            </c:numRef>
          </c:val>
          <c:smooth val="1"/>
        </c:ser>
        <c:ser>
          <c:idx val="7"/>
          <c:order val="7"/>
          <c:spPr>
            <a:solidFill>
              <a:srgbClr val="CC8F8E"/>
            </a:solidFill>
            <a:ln w="1260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Model'!$D$7</c:f>
              <c:numCache>
                <c:formatCode>0.0%</c:formatCode>
                <c:ptCount val="1"/>
                <c:pt idx="0">
                  <c:v>0.05</c:v>
                </c:pt>
              </c:numCache>
            </c:numRef>
          </c:val>
          <c:smooth val="1"/>
        </c:ser>
        <c:ser>
          <c:idx val="8"/>
          <c:order val="8"/>
          <c:spPr>
            <a:solidFill>
              <a:srgbClr val="B3C992"/>
            </a:solidFill>
            <a:ln w="12600">
              <a:solidFill>
                <a:srgbClr val="B3C992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Model'!$E$7</c:f>
              <c:numCache>
                <c:formatCode>0.0%</c:formatCode>
                <c:ptCount val="1"/>
                <c:pt idx="0">
                  <c:v>0.053</c:v>
                </c:pt>
              </c:numCache>
            </c:numRef>
          </c:val>
          <c:smooth val="1"/>
        </c:ser>
        <c:ser>
          <c:idx val="9"/>
          <c:order val="9"/>
          <c:spPr>
            <a:solidFill>
              <a:srgbClr val="A596B9"/>
            </a:solidFill>
            <a:ln w="12600">
              <a:solidFill>
                <a:srgbClr val="A596B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Model'!$F$7</c:f>
              <c:numCache>
                <c:formatCode>0.0%</c:formatCode>
                <c:ptCount val="1"/>
                <c:pt idx="0">
                  <c:v>0.056</c:v>
                </c:pt>
              </c:numCache>
            </c:numRef>
          </c:val>
          <c:smooth val="1"/>
        </c:ser>
        <c:ser>
          <c:idx val="10"/>
          <c:order val="10"/>
          <c:spPr>
            <a:solidFill>
              <a:srgbClr val="8CBFD2"/>
            </a:solidFill>
            <a:ln w="12600">
              <a:solidFill>
                <a:srgbClr val="8CBFD2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Model'!$G$7</c:f>
              <c:numCache>
                <c:formatCode>0.0%</c:formatCode>
                <c:ptCount val="1"/>
                <c:pt idx="0">
                  <c:v>0.058</c:v>
                </c:pt>
              </c:numCache>
            </c:numRef>
          </c:val>
          <c:smooth val="1"/>
        </c:ser>
        <c:ser>
          <c:idx val="11"/>
          <c:order val="11"/>
          <c:spPr>
            <a:solidFill>
              <a:srgbClr val="F5B089"/>
            </a:solidFill>
            <a:ln w="12600">
              <a:solidFill>
                <a:srgbClr val="F5B08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Model'!$C$4:$H$4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  <c:lvl>
                  <c:pt idx="0">
                    <c:v>FY2025A</c:v>
                  </c:pt>
                </c:lvl>
              </c:multiLvlStrCache>
            </c:multiLvlStrRef>
          </c:cat>
          <c:val>
            <c:numRef>
              <c:f>'DCF Model'!$H$7</c:f>
              <c:numCache>
                <c:formatCode>0.0%</c:formatCode>
                <c:ptCount val="1"/>
                <c:pt idx="0">
                  <c:v>0.06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2161270"/>
        <c:axId val="67934129"/>
      </c:lineChart>
      <c:catAx>
        <c:axId val="5482793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Fiscal 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3782521"/>
        <c:crosses val="autoZero"/>
        <c:auto val="1"/>
        <c:lblAlgn val="ctr"/>
        <c:lblOffset val="100"/>
        <c:noMultiLvlLbl val="0"/>
      </c:catAx>
      <c:valAx>
        <c:axId val="337825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Revenue (€mm)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4827932"/>
        <c:crosses val="autoZero"/>
        <c:crossBetween val="between"/>
      </c:valAx>
      <c:catAx>
        <c:axId val="42161270"/>
        <c:scaling>
          <c:orientation val="minMax"/>
        </c:scaling>
        <c:delete val="0"/>
        <c:axPos val="t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Fiscal 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7934129"/>
        <c:crosses val="autoZero"/>
        <c:auto val="1"/>
        <c:lblAlgn val="ctr"/>
        <c:lblOffset val="100"/>
        <c:noMultiLvlLbl val="0"/>
      </c:catAx>
      <c:valAx>
        <c:axId val="67934129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EBIT Margin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2161270"/>
        <c:crosses val="max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Projected EBIT, Capex &amp; Unlevered FCF (€mm), FY26E–FY30E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"EBIT"</c:f>
              <c:strCache>
                <c:ptCount val="1"/>
                <c:pt idx="0">
                  <c:v>EBIT</c:v>
                </c:pt>
              </c:strCache>
            </c:strRef>
          </c:tx>
          <c:spPr>
            <a:solidFill>
              <a:srgbClr val="416A9C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Model'!$D$8</c:f>
              <c:numCache>
                <c:formatCode>#,##0</c:formatCode>
                <c:ptCount val="1"/>
                <c:pt idx="0">
                  <c:v>5936.6285</c:v>
                </c:pt>
              </c:numCache>
            </c:numRef>
          </c:val>
        </c:ser>
        <c:ser>
          <c:idx val="1"/>
          <c:order val="1"/>
          <c:tx>
            <c:strRef>
              <c:f>"Capex"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rgbClr val="9F423F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Model'!$E$8</c:f>
              <c:numCache>
                <c:formatCode>#,##0</c:formatCode>
                <c:ptCount val="1"/>
                <c:pt idx="0">
                  <c:v>6418.6827342</c:v>
                </c:pt>
              </c:numCache>
            </c:numRef>
          </c:val>
        </c:ser>
        <c:ser>
          <c:idx val="2"/>
          <c:order val="2"/>
          <c:tx>
            <c:strRef>
              <c:f>"Unlevered FCF"</c:f>
              <c:strCache>
                <c:ptCount val="1"/>
                <c:pt idx="0">
                  <c:v>Unlevered FCF</c:v>
                </c:pt>
              </c:strCache>
            </c:strRef>
          </c:tx>
          <c:spPr>
            <a:solidFill>
              <a:srgbClr val="809B49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Model'!$F$8</c:f>
              <c:numCache>
                <c:formatCode>#,##0</c:formatCode>
                <c:ptCount val="1"/>
                <c:pt idx="0">
                  <c:v>6917.644486368</c:v>
                </c:pt>
              </c:numCache>
            </c:numRef>
          </c:val>
        </c:ser>
        <c:ser>
          <c:idx val="3"/>
          <c:order val="3"/>
          <c:spPr>
            <a:solidFill>
              <a:srgbClr val="6A5286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Model'!$G$8</c:f>
              <c:numCache>
                <c:formatCode>#,##0</c:formatCode>
                <c:ptCount val="1"/>
                <c:pt idx="0">
                  <c:v>7343.8207984746</c:v>
                </c:pt>
              </c:numCache>
            </c:numRef>
          </c:val>
        </c:ser>
        <c:ser>
          <c:idx val="4"/>
          <c:order val="4"/>
          <c:spPr>
            <a:solidFill>
              <a:srgbClr val="3E8EA4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Model'!$H$8</c:f>
              <c:numCache>
                <c:formatCode>#,##0</c:formatCode>
                <c:ptCount val="1"/>
                <c:pt idx="0">
                  <c:v>7786.98239838255</c:v>
                </c:pt>
              </c:numCache>
            </c:numRef>
          </c:val>
        </c:ser>
        <c:ser>
          <c:idx val="5"/>
          <c:order val="5"/>
          <c:spPr>
            <a:solidFill>
              <a:srgbClr val="CC7C3A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Model'!$D$13</c:f>
              <c:numCache>
                <c:formatCode>#,##0</c:formatCode>
                <c:ptCount val="1"/>
                <c:pt idx="0">
                  <c:v>6292.82621</c:v>
                </c:pt>
              </c:numCache>
            </c:numRef>
          </c:val>
        </c:ser>
        <c:ser>
          <c:idx val="6"/>
          <c:order val="6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Model'!$E$13</c:f>
              <c:numCache>
                <c:formatCode>#,##0</c:formatCode>
                <c:ptCount val="1"/>
                <c:pt idx="0">
                  <c:v>6297.5755128</c:v>
                </c:pt>
              </c:numCache>
            </c:numRef>
          </c:val>
        </c:ser>
        <c:ser>
          <c:idx val="7"/>
          <c:order val="7"/>
          <c:spPr>
            <a:solidFill>
              <a:srgbClr val="C0504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Model'!$F$13</c:f>
              <c:numCache>
                <c:formatCode>#,##0</c:formatCode>
                <c:ptCount val="1"/>
                <c:pt idx="0">
                  <c:v>6299.997657228</c:v>
                </c:pt>
              </c:numCache>
            </c:numRef>
          </c:val>
        </c:ser>
        <c:ser>
          <c:idx val="8"/>
          <c:order val="8"/>
          <c:spPr>
            <a:solidFill>
              <a:srgbClr val="9BBB59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Model'!$G$13</c:f>
              <c:numCache>
                <c:formatCode>#,##0</c:formatCode>
                <c:ptCount val="1"/>
                <c:pt idx="0">
                  <c:v>6330.879998685</c:v>
                </c:pt>
              </c:numCache>
            </c:numRef>
          </c:val>
        </c:ser>
        <c:ser>
          <c:idx val="9"/>
          <c:order val="9"/>
          <c:spPr>
            <a:solidFill>
              <a:srgbClr val="8064A2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Model'!$H$13</c:f>
              <c:numCache>
                <c:formatCode>#,##0</c:formatCode>
                <c:ptCount val="1"/>
                <c:pt idx="0">
                  <c:v>6489.15199865212</c:v>
                </c:pt>
              </c:numCache>
            </c:numRef>
          </c:val>
        </c:ser>
        <c:ser>
          <c:idx val="10"/>
          <c:order val="10"/>
          <c:spPr>
            <a:solidFill>
              <a:srgbClr val="4BACC6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Model'!$D$15</c:f>
              <c:numCache>
                <c:formatCode>#,##0</c:formatCode>
                <c:ptCount val="1"/>
                <c:pt idx="0">
                  <c:v>3752.41944</c:v>
                </c:pt>
              </c:numCache>
            </c:numRef>
          </c:val>
        </c:ser>
        <c:ser>
          <c:idx val="11"/>
          <c:order val="11"/>
          <c:spPr>
            <a:solidFill>
              <a:srgbClr val="F79646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Model'!$E$15</c:f>
              <c:numCache>
                <c:formatCode>#,##0</c:formatCode>
                <c:ptCount val="1"/>
                <c:pt idx="0">
                  <c:v>4155.87741514</c:v>
                </c:pt>
              </c:numCache>
            </c:numRef>
          </c:val>
        </c:ser>
        <c:ser>
          <c:idx val="12"/>
          <c:order val="12"/>
          <c:spPr>
            <a:solidFill>
              <a:srgbClr val="AABAD7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Model'!$F$15</c:f>
              <c:numCache>
                <c:formatCode>#,##0</c:formatCode>
                <c:ptCount val="1"/>
                <c:pt idx="0">
                  <c:v>4621.9359975096</c:v>
                </c:pt>
              </c:numCache>
            </c:numRef>
          </c:val>
        </c:ser>
        <c:ser>
          <c:idx val="13"/>
          <c:order val="13"/>
          <c:spPr>
            <a:solidFill>
              <a:srgbClr val="D8AAA9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Model'!$G$15</c:f>
              <c:numCache>
                <c:formatCode>#,##0</c:formatCode>
                <c:ptCount val="1"/>
                <c:pt idx="0">
                  <c:v>5017.14519310422</c:v>
                </c:pt>
              </c:numCache>
            </c:numRef>
          </c:val>
        </c:ser>
        <c:ser>
          <c:idx val="14"/>
          <c:order val="14"/>
          <c:spPr>
            <a:solidFill>
              <a:srgbClr val="C5D6AC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'DCF Model'!$D$4:$H$4</c:f>
              <c:multiLvlStrCache>
                <c:ptCount val="1"/>
                <c:lvl>
                  <c:pt idx="0">
                    <c:v>FY2030E</c:v>
                  </c:pt>
                </c:lvl>
                <c:lvl>
                  <c:pt idx="0">
                    <c:v>FY2029E</c:v>
                  </c:pt>
                </c:lvl>
                <c:lvl>
                  <c:pt idx="0">
                    <c:v>FY2028E</c:v>
                  </c:pt>
                </c:lvl>
                <c:lvl>
                  <c:pt idx="0">
                    <c:v>FY2027E</c:v>
                  </c:pt>
                </c:lvl>
                <c:lvl>
                  <c:pt idx="0">
                    <c:v>FY2026E</c:v>
                  </c:pt>
                </c:lvl>
              </c:multiLvlStrCache>
            </c:multiLvlStrRef>
          </c:cat>
          <c:val>
            <c:numRef>
              <c:f>'DCF Model'!$H$15</c:f>
              <c:numCache>
                <c:formatCode>#,##0</c:formatCode>
                <c:ptCount val="1"/>
                <c:pt idx="0">
                  <c:v>5324.27007889408</c:v>
                </c:pt>
              </c:numCache>
            </c:numRef>
          </c:val>
        </c:ser>
        <c:gapWidth val="150"/>
        <c:overlap val="0"/>
        <c:axId val="81628721"/>
        <c:axId val="30626090"/>
      </c:barChart>
      <c:catAx>
        <c:axId val="8162872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Fiscal 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0626090"/>
        <c:crosses val="autoZero"/>
        <c:auto val="1"/>
        <c:lblAlgn val="ctr"/>
        <c:lblOffset val="100"/>
        <c:noMultiLvlLbl val="0"/>
      </c:catAx>
      <c:valAx>
        <c:axId val="3062609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€ millions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162872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Per-Share Valuation: Current Price vs. DCF vs. Street Target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"€ per share"</c:f>
              <c:strCache>
                <c:ptCount val="1"/>
                <c:pt idx="0">
                  <c:v>€ per share</c:v>
                </c:pt>
              </c:strCache>
            </c:strRef>
          </c:tx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Charts!$B$42:$B$44</c:f>
              <c:strCache>
                <c:ptCount val="3"/>
                <c:pt idx="0">
                  <c:v>Current Price</c:v>
                </c:pt>
                <c:pt idx="1">
                  <c:v>DCF Implied Value</c:v>
                </c:pt>
                <c:pt idx="2">
                  <c:v>Street Avg. Target</c:v>
                </c:pt>
              </c:strCache>
            </c:strRef>
          </c:cat>
          <c:val>
            <c:numRef>
              <c:f>Charts!$C$42:$C$44</c:f>
              <c:numCache>
                <c:formatCode>0.00</c:formatCode>
                <c:ptCount val="3"/>
                <c:pt idx="0">
                  <c:v>59.1</c:v>
                </c:pt>
                <c:pt idx="1">
                  <c:v>83.2626941789997</c:v>
                </c:pt>
                <c:pt idx="2">
                  <c:v>72.72</c:v>
                </c:pt>
              </c:numCache>
            </c:numRef>
          </c:val>
        </c:ser>
        <c:gapWidth val="150"/>
        <c:overlap val="0"/>
        <c:axId val="89356818"/>
        <c:axId val="70189563"/>
      </c:barChart>
      <c:catAx>
        <c:axId val="893568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0189563"/>
        <c:crosses val="autoZero"/>
        <c:auto val="1"/>
        <c:lblAlgn val="ctr"/>
        <c:lblOffset val="100"/>
        <c:noMultiLvlLbl val="0"/>
      </c:catAx>
      <c:valAx>
        <c:axId val="7018956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€ per share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935681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0</xdr:rowOff>
    </xdr:from>
    <xdr:to>
      <xdr:col>11</xdr:col>
      <xdr:colOff>364680</xdr:colOff>
      <xdr:row>19</xdr:row>
      <xdr:rowOff>1080</xdr:rowOff>
    </xdr:to>
    <xdr:graphicFrame>
      <xdr:nvGraphicFramePr>
        <xdr:cNvPr id="1" name="Chart 1"/>
        <xdr:cNvGraphicFramePr/>
      </xdr:nvGraphicFramePr>
      <xdr:xfrm>
        <a:off x="141120" y="41076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21</xdr:row>
      <xdr:rowOff>0</xdr:rowOff>
    </xdr:from>
    <xdr:to>
      <xdr:col>11</xdr:col>
      <xdr:colOff>364680</xdr:colOff>
      <xdr:row>38</xdr:row>
      <xdr:rowOff>1080</xdr:rowOff>
    </xdr:to>
    <xdr:graphicFrame>
      <xdr:nvGraphicFramePr>
        <xdr:cNvPr id="2" name="Chart 2"/>
        <xdr:cNvGraphicFramePr/>
      </xdr:nvGraphicFramePr>
      <xdr:xfrm>
        <a:off x="141120" y="403020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43</xdr:row>
      <xdr:rowOff>0</xdr:rowOff>
    </xdr:from>
    <xdr:to>
      <xdr:col>9</xdr:col>
      <xdr:colOff>147600</xdr:colOff>
      <xdr:row>60</xdr:row>
      <xdr:rowOff>1080</xdr:rowOff>
    </xdr:to>
    <xdr:graphicFrame>
      <xdr:nvGraphicFramePr>
        <xdr:cNvPr id="3" name="Chart 3"/>
        <xdr:cNvGraphicFramePr/>
      </xdr:nvGraphicFramePr>
      <xdr:xfrm>
        <a:off x="141120" y="8221320"/>
        <a:ext cx="50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70"/>
  </cols>
  <sheetData>
    <row r="1" customFormat="false" ht="17.3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 t="s">
        <v>1</v>
      </c>
    </row>
    <row r="4" customFormat="false" ht="15" hidden="false" customHeight="false" outlineLevel="0" collapsed="false">
      <c r="B4" s="3" t="s">
        <v>2</v>
      </c>
      <c r="C4" s="3"/>
    </row>
    <row r="5" customFormat="false" ht="15" hidden="false" customHeight="false" outlineLevel="0" collapsed="false">
      <c r="B5" s="4" t="s">
        <v>3</v>
      </c>
      <c r="C5" s="5" t="n">
        <v>59.1</v>
      </c>
      <c r="D5" s="2" t="s">
        <v>4</v>
      </c>
    </row>
    <row r="6" customFormat="false" ht="15" hidden="false" customHeight="false" outlineLevel="0" collapsed="false">
      <c r="B6" s="4" t="s">
        <v>5</v>
      </c>
      <c r="C6" s="6" t="n">
        <v>598.88</v>
      </c>
      <c r="D6" s="2" t="s">
        <v>6</v>
      </c>
    </row>
    <row r="7" customFormat="false" ht="15" hidden="false" customHeight="false" outlineLevel="0" collapsed="false">
      <c r="B7" s="4" t="s">
        <v>7</v>
      </c>
      <c r="C7" s="5" t="n">
        <v>0.77</v>
      </c>
      <c r="D7" s="2" t="s">
        <v>8</v>
      </c>
    </row>
    <row r="8" customFormat="false" ht="15" hidden="false" customHeight="false" outlineLevel="0" collapsed="false">
      <c r="B8" s="4" t="s">
        <v>9</v>
      </c>
      <c r="C8" s="5" t="n">
        <v>72.72</v>
      </c>
      <c r="D8" s="2" t="s">
        <v>10</v>
      </c>
    </row>
    <row r="10" customFormat="false" ht="15" hidden="false" customHeight="false" outlineLevel="0" collapsed="false">
      <c r="B10" s="4" t="s">
        <v>11</v>
      </c>
      <c r="C10" s="7" t="n">
        <f aca="false">C5*C6</f>
        <v>35393.808</v>
      </c>
    </row>
    <row r="12" customFormat="false" ht="15" hidden="false" customHeight="false" outlineLevel="0" collapsed="false">
      <c r="B12" s="3" t="s">
        <v>12</v>
      </c>
      <c r="C12" s="3"/>
    </row>
    <row r="13" customFormat="false" ht="15" hidden="false" customHeight="false" outlineLevel="0" collapsed="false">
      <c r="B13" s="4" t="s">
        <v>13</v>
      </c>
      <c r="C13" s="8" t="n">
        <v>0.031</v>
      </c>
      <c r="D13" s="2" t="s">
        <v>14</v>
      </c>
    </row>
    <row r="14" customFormat="false" ht="15" hidden="false" customHeight="false" outlineLevel="0" collapsed="false">
      <c r="B14" s="4" t="s">
        <v>15</v>
      </c>
      <c r="C14" s="8" t="n">
        <v>0.07</v>
      </c>
      <c r="D14" s="2" t="s">
        <v>16</v>
      </c>
    </row>
    <row r="15" customFormat="false" ht="15" hidden="false" customHeight="false" outlineLevel="0" collapsed="false">
      <c r="B15" s="4" t="s">
        <v>17</v>
      </c>
      <c r="C15" s="9" t="n">
        <f aca="false">C7</f>
        <v>0.77</v>
      </c>
    </row>
    <row r="16" customFormat="false" ht="15" hidden="false" customHeight="false" outlineLevel="0" collapsed="false">
      <c r="B16" s="10" t="s">
        <v>18</v>
      </c>
      <c r="C16" s="11" t="n">
        <f aca="false">C13+C15*C14</f>
        <v>0.0849</v>
      </c>
    </row>
    <row r="17" customFormat="false" ht="15" hidden="false" customHeight="false" outlineLevel="0" collapsed="false">
      <c r="B17" s="4" t="s">
        <v>19</v>
      </c>
      <c r="C17" s="8" t="n">
        <v>0.038</v>
      </c>
      <c r="D17" s="2" t="s">
        <v>20</v>
      </c>
    </row>
    <row r="18" customFormat="false" ht="15" hidden="false" customHeight="false" outlineLevel="0" collapsed="false">
      <c r="B18" s="4" t="s">
        <v>21</v>
      </c>
      <c r="C18" s="12" t="n">
        <v>0.3</v>
      </c>
      <c r="D18" s="2" t="s">
        <v>22</v>
      </c>
    </row>
    <row r="19" customFormat="false" ht="15" hidden="false" customHeight="false" outlineLevel="0" collapsed="false">
      <c r="B19" s="10" t="s">
        <v>23</v>
      </c>
      <c r="C19" s="11" t="n">
        <f aca="false">C17*(1-C18)</f>
        <v>0.0266</v>
      </c>
    </row>
    <row r="20" customFormat="false" ht="15" hidden="false" customHeight="false" outlineLevel="0" collapsed="false">
      <c r="B20" s="4" t="s">
        <v>24</v>
      </c>
      <c r="C20" s="13" t="n">
        <v>0.85</v>
      </c>
      <c r="D20" s="2" t="s">
        <v>25</v>
      </c>
    </row>
    <row r="21" customFormat="false" ht="15" hidden="false" customHeight="false" outlineLevel="0" collapsed="false">
      <c r="B21" s="4" t="s">
        <v>26</v>
      </c>
      <c r="C21" s="14" t="n">
        <f aca="false">1-C20</f>
        <v>0.15</v>
      </c>
    </row>
    <row r="22" customFormat="false" ht="15" hidden="false" customHeight="false" outlineLevel="0" collapsed="false">
      <c r="B22" s="15" t="s">
        <v>27</v>
      </c>
      <c r="C22" s="16" t="n">
        <f aca="false">C20*C16+C21*C19</f>
        <v>0.076155</v>
      </c>
    </row>
    <row r="24" customFormat="false" ht="15" hidden="false" customHeight="false" outlineLevel="0" collapsed="false">
      <c r="B24" s="3" t="s">
        <v>28</v>
      </c>
      <c r="C24" s="3"/>
    </row>
    <row r="25" customFormat="false" ht="15" hidden="false" customHeight="false" outlineLevel="0" collapsed="false">
      <c r="B25" s="15" t="s">
        <v>29</v>
      </c>
      <c r="C25" s="17" t="n">
        <v>3.2</v>
      </c>
      <c r="D25" s="2" t="s">
        <v>30</v>
      </c>
    </row>
    <row r="26" customFormat="false" ht="15" hidden="false" customHeight="false" outlineLevel="0" collapsed="false">
      <c r="B26" s="4" t="s">
        <v>31</v>
      </c>
      <c r="C26" s="12" t="n">
        <v>0.05</v>
      </c>
      <c r="D26" s="2" t="s">
        <v>32</v>
      </c>
    </row>
    <row r="27" customFormat="false" ht="15" hidden="false" customHeight="false" outlineLevel="0" collapsed="false">
      <c r="B27" s="4" t="s">
        <v>33</v>
      </c>
      <c r="C27" s="12" t="n">
        <v>0.04</v>
      </c>
      <c r="D27" s="2" t="s">
        <v>34</v>
      </c>
    </row>
    <row r="28" customFormat="false" ht="15" hidden="false" customHeight="false" outlineLevel="0" collapsed="false">
      <c r="B28" s="4" t="s">
        <v>35</v>
      </c>
      <c r="C28" s="18" t="n">
        <v>0</v>
      </c>
      <c r="D28" s="2" t="s">
        <v>36</v>
      </c>
    </row>
    <row r="30" customFormat="false" ht="15" hidden="false" customHeight="false" outlineLevel="0" collapsed="false">
      <c r="B30" s="3" t="s">
        <v>37</v>
      </c>
      <c r="C30" s="3"/>
    </row>
    <row r="31" customFormat="false" ht="15" hidden="false" customHeight="false" outlineLevel="0" collapsed="false">
      <c r="B31" s="4" t="s">
        <v>38</v>
      </c>
      <c r="C31" s="18" t="n">
        <v>117557</v>
      </c>
      <c r="D31" s="2" t="s">
        <v>39</v>
      </c>
    </row>
    <row r="32" customFormat="false" ht="15" hidden="false" customHeight="false" outlineLevel="0" collapsed="false">
      <c r="B32" s="4" t="s">
        <v>40</v>
      </c>
      <c r="C32" s="12" t="n">
        <v>0.053</v>
      </c>
      <c r="D32" s="2" t="s">
        <v>41</v>
      </c>
    </row>
    <row r="33" customFormat="false" ht="15" hidden="false" customHeight="false" outlineLevel="0" collapsed="false">
      <c r="B33" s="4" t="s">
        <v>42</v>
      </c>
      <c r="C33" s="12" t="n">
        <v>0.054</v>
      </c>
      <c r="D33" s="2" t="s">
        <v>43</v>
      </c>
    </row>
    <row r="35" customFormat="false" ht="15" hidden="false" customHeight="false" outlineLevel="0" collapsed="false">
      <c r="B35" s="3" t="s">
        <v>44</v>
      </c>
      <c r="C35" s="3"/>
    </row>
    <row r="36" customFormat="false" ht="15" hidden="false" customHeight="false" outlineLevel="0" collapsed="false">
      <c r="B36" s="4" t="s">
        <v>45</v>
      </c>
      <c r="C36" s="19" t="s">
        <v>46</v>
      </c>
      <c r="D36" s="2" t="s">
        <v>47</v>
      </c>
    </row>
    <row r="37" customFormat="false" ht="15" hidden="false" customHeight="false" outlineLevel="0" collapsed="false">
      <c r="B37" s="4" t="s">
        <v>48</v>
      </c>
      <c r="C37" s="19" t="s">
        <v>49</v>
      </c>
      <c r="D37" s="2" t="s">
        <v>50</v>
      </c>
    </row>
    <row r="38" customFormat="false" ht="15" hidden="false" customHeight="false" outlineLevel="0" collapsed="false">
      <c r="B38" s="4" t="s">
        <v>51</v>
      </c>
      <c r="C38" s="19" t="s">
        <v>52</v>
      </c>
      <c r="D38" s="2" t="s">
        <v>50</v>
      </c>
    </row>
  </sheetData>
  <mergeCells count="5">
    <mergeCell ref="B4:C4"/>
    <mergeCell ref="B12:C12"/>
    <mergeCell ref="B24:C24"/>
    <mergeCell ref="B30:C30"/>
    <mergeCell ref="B35:C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8" min="3" style="0" width="13"/>
  </cols>
  <sheetData>
    <row r="1" customFormat="false" ht="17.35" hidden="false" customHeight="false" outlineLevel="0" collapsed="false">
      <c r="B1" s="1" t="s">
        <v>53</v>
      </c>
    </row>
    <row r="2" customFormat="false" ht="15" hidden="false" customHeight="false" outlineLevel="0" collapsed="false">
      <c r="B2" s="2" t="s">
        <v>54</v>
      </c>
    </row>
    <row r="4" customFormat="false" ht="15" hidden="false" customHeight="false" outlineLevel="0" collapsed="false">
      <c r="B4" s="20"/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1" t="s">
        <v>60</v>
      </c>
    </row>
    <row r="5" customFormat="false" ht="15" hidden="false" customHeight="false" outlineLevel="0" collapsed="false">
      <c r="B5" s="4" t="s">
        <v>61</v>
      </c>
      <c r="C5" s="22" t="s">
        <v>62</v>
      </c>
      <c r="D5" s="12" t="n">
        <v>0.01</v>
      </c>
      <c r="E5" s="12" t="n">
        <v>0.02</v>
      </c>
      <c r="F5" s="12" t="n">
        <v>0.02</v>
      </c>
      <c r="G5" s="12" t="n">
        <v>0.025</v>
      </c>
      <c r="H5" s="12" t="n">
        <v>0.025</v>
      </c>
    </row>
    <row r="6" customFormat="false" ht="15" hidden="false" customHeight="false" outlineLevel="0" collapsed="false">
      <c r="B6" s="10" t="s">
        <v>63</v>
      </c>
      <c r="C6" s="23" t="n">
        <f aca="false">Assumptions!$C$31</f>
        <v>117557</v>
      </c>
      <c r="D6" s="7" t="n">
        <f aca="false">C6*(1+D5)</f>
        <v>118732.57</v>
      </c>
      <c r="E6" s="7" t="n">
        <f aca="false">D6*(1+E5)</f>
        <v>121107.2214</v>
      </c>
      <c r="F6" s="7" t="n">
        <f aca="false">E6*(1+F5)</f>
        <v>123529.365828</v>
      </c>
      <c r="G6" s="7" t="n">
        <f aca="false">F6*(1+G5)</f>
        <v>126617.5999737</v>
      </c>
      <c r="H6" s="7" t="n">
        <f aca="false">G6*(1+H5)</f>
        <v>129783.039973042</v>
      </c>
    </row>
    <row r="7" customFormat="false" ht="15" hidden="false" customHeight="false" outlineLevel="0" collapsed="false">
      <c r="B7" s="4" t="s">
        <v>64</v>
      </c>
      <c r="C7" s="24" t="n">
        <f aca="false">Assumptions!$C$32</f>
        <v>0.053</v>
      </c>
      <c r="D7" s="12" t="n">
        <v>0.05</v>
      </c>
      <c r="E7" s="12" t="n">
        <v>0.053</v>
      </c>
      <c r="F7" s="12" t="n">
        <v>0.056</v>
      </c>
      <c r="G7" s="12" t="n">
        <v>0.058</v>
      </c>
      <c r="H7" s="12" t="n">
        <v>0.06</v>
      </c>
    </row>
    <row r="8" customFormat="false" ht="15" hidden="false" customHeight="false" outlineLevel="0" collapsed="false">
      <c r="B8" s="10" t="s">
        <v>65</v>
      </c>
      <c r="C8" s="7" t="n">
        <f aca="false">C6*C7</f>
        <v>6230.521</v>
      </c>
      <c r="D8" s="7" t="n">
        <f aca="false">D6*D7</f>
        <v>5936.6285</v>
      </c>
      <c r="E8" s="7" t="n">
        <f aca="false">E6*E7</f>
        <v>6418.6827342</v>
      </c>
      <c r="F8" s="7" t="n">
        <f aca="false">F6*F7</f>
        <v>6917.644486368</v>
      </c>
      <c r="G8" s="7" t="n">
        <f aca="false">G6*G7</f>
        <v>7343.8207984746</v>
      </c>
      <c r="H8" s="7" t="n">
        <f aca="false">H6*H7</f>
        <v>7786.98239838255</v>
      </c>
    </row>
    <row r="9" customFormat="false" ht="15" hidden="false" customHeight="false" outlineLevel="0" collapsed="false">
      <c r="B9" s="4" t="s">
        <v>66</v>
      </c>
      <c r="C9" s="24" t="n">
        <f aca="false">Assumptions!$C$18</f>
        <v>0.3</v>
      </c>
      <c r="D9" s="24" t="n">
        <f aca="false">Assumptions!$C$18</f>
        <v>0.3</v>
      </c>
      <c r="E9" s="24" t="n">
        <f aca="false">Assumptions!$C$18</f>
        <v>0.3</v>
      </c>
      <c r="F9" s="24" t="n">
        <f aca="false">Assumptions!$C$18</f>
        <v>0.3</v>
      </c>
      <c r="G9" s="24" t="n">
        <f aca="false">Assumptions!$C$18</f>
        <v>0.3</v>
      </c>
      <c r="H9" s="24" t="n">
        <f aca="false">Assumptions!$C$18</f>
        <v>0.3</v>
      </c>
    </row>
    <row r="10" customFormat="false" ht="15" hidden="false" customHeight="false" outlineLevel="0" collapsed="false">
      <c r="B10" s="10" t="s">
        <v>67</v>
      </c>
      <c r="C10" s="7" t="n">
        <f aca="false">C8*(1-C9)</f>
        <v>4361.3647</v>
      </c>
      <c r="D10" s="7" t="n">
        <f aca="false">D8*(1-D9)</f>
        <v>4155.63995</v>
      </c>
      <c r="E10" s="7" t="n">
        <f aca="false">E8*(1-E9)</f>
        <v>4493.07791394</v>
      </c>
      <c r="F10" s="7" t="n">
        <f aca="false">F8*(1-F9)</f>
        <v>4842.3511404576</v>
      </c>
      <c r="G10" s="7" t="n">
        <f aca="false">G8*(1-G9)</f>
        <v>5140.67455893222</v>
      </c>
      <c r="H10" s="7" t="n">
        <f aca="false">H8*(1-H9)</f>
        <v>5450.88767886778</v>
      </c>
    </row>
    <row r="11" customFormat="false" ht="15" hidden="false" customHeight="false" outlineLevel="0" collapsed="false">
      <c r="B11" s="4" t="s">
        <v>68</v>
      </c>
      <c r="C11" s="7" t="n">
        <f aca="false">C6*Assumptions!$C$26</f>
        <v>5877.85</v>
      </c>
      <c r="D11" s="7" t="n">
        <f aca="false">D6*Assumptions!$C$26</f>
        <v>5936.6285</v>
      </c>
      <c r="E11" s="7" t="n">
        <f aca="false">E6*Assumptions!$C$26</f>
        <v>6055.36107</v>
      </c>
      <c r="F11" s="7" t="n">
        <f aca="false">F6*Assumptions!$C$26</f>
        <v>6176.4682914</v>
      </c>
      <c r="G11" s="7" t="n">
        <f aca="false">G6*Assumptions!$C$26</f>
        <v>6330.879998685</v>
      </c>
      <c r="H11" s="7" t="n">
        <f aca="false">H6*Assumptions!$C$26</f>
        <v>6489.15199865212</v>
      </c>
    </row>
    <row r="12" customFormat="false" ht="15" hidden="false" customHeight="false" outlineLevel="0" collapsed="false">
      <c r="B12" s="4" t="s">
        <v>69</v>
      </c>
      <c r="C12" s="24" t="n">
        <f aca="false">Assumptions!$C$33</f>
        <v>0.054</v>
      </c>
      <c r="D12" s="12" t="n">
        <v>0.053</v>
      </c>
      <c r="E12" s="12" t="n">
        <v>0.052</v>
      </c>
      <c r="F12" s="12" t="n">
        <v>0.051</v>
      </c>
      <c r="G12" s="12" t="n">
        <v>0.05</v>
      </c>
      <c r="H12" s="12" t="n">
        <v>0.05</v>
      </c>
    </row>
    <row r="13" customFormat="false" ht="15" hidden="false" customHeight="false" outlineLevel="0" collapsed="false">
      <c r="B13" s="4" t="s">
        <v>70</v>
      </c>
      <c r="C13" s="7" t="n">
        <f aca="false">C6*C12</f>
        <v>6348.078</v>
      </c>
      <c r="D13" s="7" t="n">
        <f aca="false">D6*D12</f>
        <v>6292.82621</v>
      </c>
      <c r="E13" s="7" t="n">
        <f aca="false">E6*E12</f>
        <v>6297.5755128</v>
      </c>
      <c r="F13" s="7" t="n">
        <f aca="false">F6*F12</f>
        <v>6299.997657228</v>
      </c>
      <c r="G13" s="7" t="n">
        <f aca="false">G6*G12</f>
        <v>6330.879998685</v>
      </c>
      <c r="H13" s="7" t="n">
        <f aca="false">H6*H12</f>
        <v>6489.15199865212</v>
      </c>
    </row>
    <row r="14" customFormat="false" ht="15" hidden="false" customHeight="false" outlineLevel="0" collapsed="false">
      <c r="B14" s="4" t="s">
        <v>71</v>
      </c>
      <c r="C14" s="18" t="n">
        <v>0</v>
      </c>
      <c r="D14" s="7" t="n">
        <f aca="false">(D6-C6)*Assumptions!$C$27</f>
        <v>47.0228000000003</v>
      </c>
      <c r="E14" s="7" t="n">
        <f aca="false">(E6-D6)*Assumptions!$C$27</f>
        <v>94.9860560000001</v>
      </c>
      <c r="F14" s="7" t="n">
        <f aca="false">(F6-E6)*Assumptions!$C$27</f>
        <v>96.88577712</v>
      </c>
      <c r="G14" s="7" t="n">
        <f aca="false">(G6-F6)*Assumptions!$C$27</f>
        <v>123.529365827999</v>
      </c>
      <c r="H14" s="7" t="n">
        <f aca="false">(H6-G6)*Assumptions!$C$27</f>
        <v>126.6175999737</v>
      </c>
    </row>
    <row r="15" customFormat="false" ht="15" hidden="false" customHeight="false" outlineLevel="0" collapsed="false">
      <c r="B15" s="25" t="s">
        <v>72</v>
      </c>
      <c r="C15" s="26" t="n">
        <f aca="false">C10+C11-C13-C14</f>
        <v>3891.1367</v>
      </c>
      <c r="D15" s="26" t="n">
        <f aca="false">D10+D11-D13-D14</f>
        <v>3752.41944</v>
      </c>
      <c r="E15" s="26" t="n">
        <f aca="false">E10+E11-E13-E14</f>
        <v>4155.87741514</v>
      </c>
      <c r="F15" s="26" t="n">
        <f aca="false">F10+F11-F13-F14</f>
        <v>4621.9359975096</v>
      </c>
      <c r="G15" s="26" t="n">
        <f aca="false">G10+G11-G13-G14</f>
        <v>5017.14519310422</v>
      </c>
      <c r="H15" s="26" t="n">
        <f aca="false">H10+H11-H13-H14</f>
        <v>5324.27007889408</v>
      </c>
    </row>
    <row r="17" customFormat="false" ht="15" hidden="false" customHeight="false" outlineLevel="0" collapsed="false">
      <c r="B17" s="4" t="s">
        <v>73</v>
      </c>
      <c r="D17" s="27" t="n">
        <v>1</v>
      </c>
      <c r="E17" s="27" t="n">
        <v>2</v>
      </c>
      <c r="F17" s="27" t="n">
        <v>3</v>
      </c>
      <c r="G17" s="27" t="n">
        <v>4</v>
      </c>
      <c r="H17" s="27" t="n">
        <v>5</v>
      </c>
    </row>
    <row r="18" customFormat="false" ht="15" hidden="false" customHeight="false" outlineLevel="0" collapsed="false">
      <c r="B18" s="4" t="s">
        <v>74</v>
      </c>
      <c r="D18" s="28" t="n">
        <f aca="false">1/(1+Assumptions!$C$22)^D17</f>
        <v>0.929234171657429</v>
      </c>
      <c r="E18" s="28" t="n">
        <f aca="false">1/(1+Assumptions!$C$22)^E17</f>
        <v>0.863476145775867</v>
      </c>
      <c r="F18" s="28" t="n">
        <f aca="false">1/(1+Assumptions!$C$22)^F17</f>
        <v>0.802371541065987</v>
      </c>
      <c r="G18" s="28" t="n">
        <f aca="false">1/(1+Assumptions!$C$22)^G17</f>
        <v>0.745591054323947</v>
      </c>
      <c r="H18" s="28" t="n">
        <f aca="false">1/(1+Assumptions!$C$22)^H17</f>
        <v>0.692828685759902</v>
      </c>
    </row>
    <row r="19" customFormat="false" ht="15" hidden="false" customHeight="false" outlineLevel="0" collapsed="false">
      <c r="B19" s="4" t="s">
        <v>75</v>
      </c>
      <c r="D19" s="7" t="n">
        <f aca="false">D15*D18</f>
        <v>3486.87637003963</v>
      </c>
      <c r="E19" s="7" t="n">
        <f aca="false">E15*E18</f>
        <v>3588.50101274206</v>
      </c>
      <c r="F19" s="7" t="n">
        <f aca="false">F15*F18</f>
        <v>3708.50990903014</v>
      </c>
      <c r="G19" s="7" t="n">
        <f aca="false">G15*G18</f>
        <v>3740.7385742229</v>
      </c>
      <c r="H19" s="7" t="n">
        <f aca="false">H15*H18</f>
        <v>3688.80704139096</v>
      </c>
    </row>
    <row r="21" customFormat="false" ht="15" hidden="false" customHeight="false" outlineLevel="0" collapsed="false">
      <c r="B21" s="3" t="s">
        <v>76</v>
      </c>
      <c r="C21" s="3"/>
      <c r="D21" s="3"/>
      <c r="E21" s="3"/>
      <c r="F21" s="3"/>
      <c r="G21" s="3"/>
    </row>
    <row r="22" customFormat="false" ht="15" hidden="false" customHeight="false" outlineLevel="0" collapsed="false">
      <c r="B22" s="4" t="s">
        <v>77</v>
      </c>
      <c r="C22" s="7" t="n">
        <f aca="false">SUM(D19:H19)</f>
        <v>18213.4329074257</v>
      </c>
    </row>
    <row r="23" customFormat="false" ht="15" hidden="false" customHeight="false" outlineLevel="0" collapsed="false">
      <c r="B23" s="4" t="s">
        <v>78</v>
      </c>
      <c r="C23" s="7" t="n">
        <f aca="false">H8+H11</f>
        <v>14276.1343970347</v>
      </c>
    </row>
    <row r="24" customFormat="false" ht="15" hidden="false" customHeight="false" outlineLevel="0" collapsed="false">
      <c r="B24" s="4" t="s">
        <v>79</v>
      </c>
      <c r="C24" s="7" t="n">
        <f aca="false">C23*Assumptions!$C$25</f>
        <v>45683.630070511</v>
      </c>
    </row>
    <row r="25" customFormat="false" ht="15" hidden="false" customHeight="false" outlineLevel="0" collapsed="false">
      <c r="B25" s="4" t="s">
        <v>80</v>
      </c>
      <c r="C25" s="7" t="n">
        <f aca="false">C24*H18</f>
        <v>31650.9293824936</v>
      </c>
    </row>
    <row r="26" customFormat="false" ht="15" hidden="false" customHeight="false" outlineLevel="0" collapsed="false">
      <c r="B26" s="10" t="s">
        <v>81</v>
      </c>
      <c r="C26" s="29" t="n">
        <f aca="false">C22+C25</f>
        <v>49864.3622899193</v>
      </c>
    </row>
    <row r="27" customFormat="false" ht="15" hidden="false" customHeight="false" outlineLevel="0" collapsed="false">
      <c r="B27" s="4" t="s">
        <v>82</v>
      </c>
      <c r="C27" s="23" t="n">
        <f aca="false">Assumptions!$C$28</f>
        <v>0</v>
      </c>
    </row>
    <row r="28" customFormat="false" ht="15" hidden="false" customHeight="false" outlineLevel="0" collapsed="false">
      <c r="B28" s="10" t="s">
        <v>83</v>
      </c>
      <c r="C28" s="29" t="n">
        <f aca="false">C26-C27</f>
        <v>49864.3622899193</v>
      </c>
    </row>
    <row r="29" customFormat="false" ht="15" hidden="false" customHeight="false" outlineLevel="0" collapsed="false">
      <c r="B29" s="4" t="s">
        <v>5</v>
      </c>
      <c r="C29" s="30" t="n">
        <f aca="false">Assumptions!$C$6</f>
        <v>598.88</v>
      </c>
    </row>
    <row r="30" customFormat="false" ht="15" hidden="false" customHeight="false" outlineLevel="0" collapsed="false">
      <c r="B30" s="25" t="s">
        <v>84</v>
      </c>
      <c r="C30" s="31" t="n">
        <f aca="false">C28/C29</f>
        <v>83.2626941789997</v>
      </c>
    </row>
    <row r="32" customFormat="false" ht="15" hidden="false" customHeight="false" outlineLevel="0" collapsed="false">
      <c r="B32" s="3" t="s">
        <v>85</v>
      </c>
      <c r="C32" s="3"/>
      <c r="D32" s="3"/>
      <c r="E32" s="3"/>
      <c r="F32" s="3"/>
      <c r="G32" s="3"/>
    </row>
    <row r="33" customFormat="false" ht="15" hidden="false" customHeight="false" outlineLevel="0" collapsed="false">
      <c r="B33" s="4" t="s">
        <v>3</v>
      </c>
      <c r="C33" s="9" t="n">
        <f aca="false">Assumptions!$C$5</f>
        <v>59.1</v>
      </c>
    </row>
    <row r="34" customFormat="false" ht="15" hidden="false" customHeight="false" outlineLevel="0" collapsed="false">
      <c r="B34" s="4" t="s">
        <v>86</v>
      </c>
      <c r="C34" s="32" t="n">
        <f aca="false">C30/C33-1</f>
        <v>0.408844233147203</v>
      </c>
    </row>
    <row r="35" customFormat="false" ht="15" hidden="false" customHeight="false" outlineLevel="0" collapsed="false">
      <c r="B35" s="4" t="s">
        <v>87</v>
      </c>
      <c r="C35" s="9" t="n">
        <f aca="false">Assumptions!$C$8</f>
        <v>72.72</v>
      </c>
    </row>
    <row r="36" customFormat="false" ht="15" hidden="false" customHeight="false" outlineLevel="0" collapsed="false">
      <c r="B36" s="25" t="s">
        <v>88</v>
      </c>
      <c r="C36" s="33" t="str">
        <f aca="false">IF(C34&gt;0.15,"BUY",IF(C34&lt;-0.05,"SELL","HOLD"))</f>
        <v>BUY</v>
      </c>
    </row>
  </sheetData>
  <mergeCells count="2">
    <mergeCell ref="B21:G21"/>
    <mergeCell ref="B32:G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8" min="3" style="0" width="13"/>
  </cols>
  <sheetData>
    <row r="1" customFormat="false" ht="17.35" hidden="false" customHeight="false" outlineLevel="0" collapsed="false">
      <c r="B1" s="34" t="s">
        <v>89</v>
      </c>
      <c r="C1" s="34"/>
      <c r="D1" s="34"/>
      <c r="E1" s="34"/>
      <c r="F1" s="34"/>
      <c r="G1" s="34"/>
    </row>
    <row r="2" customFormat="false" ht="15" hidden="false" customHeight="false" outlineLevel="0" collapsed="false">
      <c r="B2" s="35" t="s">
        <v>90</v>
      </c>
      <c r="C2" s="35"/>
      <c r="D2" s="35"/>
      <c r="E2" s="35"/>
      <c r="F2" s="35"/>
      <c r="G2" s="35"/>
    </row>
    <row r="4" customFormat="false" ht="15" hidden="false" customHeight="false" outlineLevel="0" collapsed="false">
      <c r="B4" s="20" t="s">
        <v>91</v>
      </c>
      <c r="C4" s="36" t="n">
        <f aca="false">Assumptions!$C$25+(-0.8)</f>
        <v>2.4</v>
      </c>
      <c r="D4" s="36" t="n">
        <f aca="false">Assumptions!$C$25+(-0.4)</f>
        <v>2.8</v>
      </c>
      <c r="E4" s="36" t="n">
        <f aca="false">Assumptions!$C$25+(0)</f>
        <v>3.2</v>
      </c>
      <c r="F4" s="36" t="n">
        <f aca="false">Assumptions!$C$25+(0.4)</f>
        <v>3.6</v>
      </c>
      <c r="G4" s="36" t="n">
        <f aca="false">Assumptions!$C$25+(0.8)</f>
        <v>4</v>
      </c>
    </row>
    <row r="5" customFormat="false" ht="15" hidden="false" customHeight="false" outlineLevel="0" collapsed="false">
      <c r="B5" s="37" t="n">
        <f aca="false">(Assumptions!$C$22)+(-0.01)</f>
        <v>0.066155</v>
      </c>
      <c r="C5" s="38" t="n">
        <f aca="false">((SUMPRODUCT('DCF Model'!$D$15:$H$15,1/(1+$B5)^'DCF Model'!$D$17:$H$17)+(('DCF Model'!$C$23*C$4))/(1+$B5)^5)-Assumptions!$C$28)/Assumptions!$C$6</f>
        <v>72.8196754908075</v>
      </c>
      <c r="D5" s="38" t="n">
        <f aca="false">((SUMPRODUCT('DCF Model'!$D$15:$H$15,1/(1+$B5)^'DCF Model'!$D$17:$H$17)+(('DCF Model'!$C$23*D$4))/(1+$B5)^5)-Assumptions!$C$28)/Assumptions!$C$6</f>
        <v>79.7416352378526</v>
      </c>
      <c r="E5" s="38" t="n">
        <f aca="false">((SUMPRODUCT('DCF Model'!$D$15:$H$15,1/(1+$B5)^'DCF Model'!$D$17:$H$17)+(('DCF Model'!$C$23*E$4))/(1+$B5)^5)-Assumptions!$C$28)/Assumptions!$C$6</f>
        <v>86.6635949848978</v>
      </c>
      <c r="F5" s="38" t="n">
        <f aca="false">((SUMPRODUCT('DCF Model'!$D$15:$H$15,1/(1+$B5)^'DCF Model'!$D$17:$H$17)+(('DCF Model'!$C$23*F$4))/(1+$B5)^5)-Assumptions!$C$28)/Assumptions!$C$6</f>
        <v>93.585554731943</v>
      </c>
      <c r="G5" s="38" t="n">
        <f aca="false">((SUMPRODUCT('DCF Model'!$D$15:$H$15,1/(1+$B5)^'DCF Model'!$D$17:$H$17)+(('DCF Model'!$C$23*G$4))/(1+$B5)^5)-Assumptions!$C$28)/Assumptions!$C$6</f>
        <v>100.507514478988</v>
      </c>
    </row>
    <row r="6" customFormat="false" ht="15" hidden="false" customHeight="false" outlineLevel="0" collapsed="false">
      <c r="B6" s="37" t="n">
        <f aca="false">(Assumptions!$C$22)+(-0.005)</f>
        <v>0.071155</v>
      </c>
      <c r="C6" s="38" t="n">
        <f aca="false">((SUMPRODUCT('DCF Model'!$D$15:$H$15,1/(1+$B6)^'DCF Model'!$D$17:$H$17)+(('DCF Model'!$C$23*C$4))/(1+$B6)^5)-Assumptions!$C$28)/Assumptions!$C$6</f>
        <v>71.4168567886985</v>
      </c>
      <c r="D6" s="38" t="n">
        <f aca="false">((SUMPRODUCT('DCF Model'!$D$15:$H$15,1/(1+$B6)^'DCF Model'!$D$17:$H$17)+(('DCF Model'!$C$23*D$4))/(1+$B6)^5)-Assumptions!$C$28)/Assumptions!$C$6</f>
        <v>78.1787640869884</v>
      </c>
      <c r="E6" s="38" t="n">
        <f aca="false">((SUMPRODUCT('DCF Model'!$D$15:$H$15,1/(1+$B6)^'DCF Model'!$D$17:$H$17)+(('DCF Model'!$C$23*E$4))/(1+$B6)^5)-Assumptions!$C$28)/Assumptions!$C$6</f>
        <v>84.9406713852783</v>
      </c>
      <c r="F6" s="38" t="n">
        <f aca="false">((SUMPRODUCT('DCF Model'!$D$15:$H$15,1/(1+$B6)^'DCF Model'!$D$17:$H$17)+(('DCF Model'!$C$23*F$4))/(1+$B6)^5)-Assumptions!$C$28)/Assumptions!$C$6</f>
        <v>91.7025786835683</v>
      </c>
      <c r="G6" s="38" t="n">
        <f aca="false">((SUMPRODUCT('DCF Model'!$D$15:$H$15,1/(1+$B6)^'DCF Model'!$D$17:$H$17)+(('DCF Model'!$C$23*G$4))/(1+$B6)^5)-Assumptions!$C$28)/Assumptions!$C$6</f>
        <v>98.4644859818582</v>
      </c>
    </row>
    <row r="7" customFormat="false" ht="15" hidden="false" customHeight="false" outlineLevel="0" collapsed="false">
      <c r="B7" s="37" t="n">
        <f aca="false">(Assumptions!$C$22)+(0)</f>
        <v>0.076155</v>
      </c>
      <c r="C7" s="38" t="n">
        <f aca="false">((SUMPRODUCT('DCF Model'!$D$15:$H$15,1/(1+$B7)^'DCF Model'!$D$17:$H$17)+(('DCF Model'!$C$23*C$4))/(1+$B7)^5)-Assumptions!$C$28)/Assumptions!$C$6</f>
        <v>70.0501435083755</v>
      </c>
      <c r="D7" s="38" t="n">
        <f aca="false">((SUMPRODUCT('DCF Model'!$D$15:$H$15,1/(1+$B7)^'DCF Model'!$D$17:$H$17)+(('DCF Model'!$C$23*D$4))/(1+$B7)^5)-Assumptions!$C$28)/Assumptions!$C$6</f>
        <v>76.6564188436876</v>
      </c>
      <c r="E7" s="38" t="n">
        <f aca="false">((SUMPRODUCT('DCF Model'!$D$15:$H$15,1/(1+$B7)^'DCF Model'!$D$17:$H$17)+(('DCF Model'!$C$23*E$4))/(1+$B7)^5)-Assumptions!$C$28)/Assumptions!$C$6</f>
        <v>83.2626941789997</v>
      </c>
      <c r="F7" s="38" t="n">
        <f aca="false">((SUMPRODUCT('DCF Model'!$D$15:$H$15,1/(1+$B7)^'DCF Model'!$D$17:$H$17)+(('DCF Model'!$C$23*F$4))/(1+$B7)^5)-Assumptions!$C$28)/Assumptions!$C$6</f>
        <v>89.8689695143118</v>
      </c>
      <c r="G7" s="38" t="n">
        <f aca="false">((SUMPRODUCT('DCF Model'!$D$15:$H$15,1/(1+$B7)^'DCF Model'!$D$17:$H$17)+(('DCF Model'!$C$23*G$4))/(1+$B7)^5)-Assumptions!$C$28)/Assumptions!$C$6</f>
        <v>96.4752448496239</v>
      </c>
    </row>
    <row r="8" customFormat="false" ht="15" hidden="false" customHeight="false" outlineLevel="0" collapsed="false">
      <c r="B8" s="37" t="n">
        <f aca="false">(Assumptions!$C$22)+(0.005)</f>
        <v>0.081155</v>
      </c>
      <c r="C8" s="38" t="n">
        <f aca="false">((SUMPRODUCT('DCF Model'!$D$15:$H$15,1/(1+$B8)^'DCF Model'!$D$17:$H$17)+(('DCF Model'!$C$23*C$4))/(1+$B8)^5)-Assumptions!$C$28)/Assumptions!$C$6</f>
        <v>68.7184204060608</v>
      </c>
      <c r="D8" s="38" t="n">
        <f aca="false">((SUMPRODUCT('DCF Model'!$D$15:$H$15,1/(1+$B8)^'DCF Model'!$D$17:$H$17)+(('DCF Model'!$C$23*D$4))/(1+$B8)^5)-Assumptions!$C$28)/Assumptions!$C$6</f>
        <v>75.1733424802846</v>
      </c>
      <c r="E8" s="38" t="n">
        <f aca="false">((SUMPRODUCT('DCF Model'!$D$15:$H$15,1/(1+$B8)^'DCF Model'!$D$17:$H$17)+(('DCF Model'!$C$23*E$4))/(1+$B8)^5)-Assumptions!$C$28)/Assumptions!$C$6</f>
        <v>81.6282645545083</v>
      </c>
      <c r="F8" s="38" t="n">
        <f aca="false">((SUMPRODUCT('DCF Model'!$D$15:$H$15,1/(1+$B8)^'DCF Model'!$D$17:$H$17)+(('DCF Model'!$C$23*F$4))/(1+$B8)^5)-Assumptions!$C$28)/Assumptions!$C$6</f>
        <v>88.0831866287321</v>
      </c>
      <c r="G8" s="38" t="n">
        <f aca="false">((SUMPRODUCT('DCF Model'!$D$15:$H$15,1/(1+$B8)^'DCF Model'!$D$17:$H$17)+(('DCF Model'!$C$23*G$4))/(1+$B8)^5)-Assumptions!$C$28)/Assumptions!$C$6</f>
        <v>94.5381087029558</v>
      </c>
    </row>
    <row r="9" customFormat="false" ht="15" hidden="false" customHeight="false" outlineLevel="0" collapsed="false">
      <c r="B9" s="37" t="n">
        <f aca="false">(Assumptions!$C$22)+(0.01)</f>
        <v>0.086155</v>
      </c>
      <c r="C9" s="38" t="n">
        <f aca="false">((SUMPRODUCT('DCF Model'!$D$15:$H$15,1/(1+$B9)^'DCF Model'!$D$17:$H$17)+(('DCF Model'!$C$23*C$4))/(1+$B9)^5)-Assumptions!$C$28)/Assumptions!$C$6</f>
        <v>67.4206119877456</v>
      </c>
      <c r="D9" s="38" t="n">
        <f aca="false">((SUMPRODUCT('DCF Model'!$D$15:$H$15,1/(1+$B9)^'DCF Model'!$D$17:$H$17)+(('DCF Model'!$C$23*D$4))/(1+$B9)^5)-Assumptions!$C$28)/Assumptions!$C$6</f>
        <v>73.7283228924164</v>
      </c>
      <c r="E9" s="38" t="n">
        <f aca="false">((SUMPRODUCT('DCF Model'!$D$15:$H$15,1/(1+$B9)^'DCF Model'!$D$17:$H$17)+(('DCF Model'!$C$23*E$4))/(1+$B9)^5)-Assumptions!$C$28)/Assumptions!$C$6</f>
        <v>80.0360337970871</v>
      </c>
      <c r="F9" s="38" t="n">
        <f aca="false">((SUMPRODUCT('DCF Model'!$D$15:$H$15,1/(1+$B9)^'DCF Model'!$D$17:$H$17)+(('DCF Model'!$C$23*F$4))/(1+$B9)^5)-Assumptions!$C$28)/Assumptions!$C$6</f>
        <v>86.3437447017579</v>
      </c>
      <c r="G9" s="38" t="n">
        <f aca="false">((SUMPRODUCT('DCF Model'!$D$15:$H$15,1/(1+$B9)^'DCF Model'!$D$17:$H$17)+(('DCF Model'!$C$23*G$4))/(1+$B9)^5)-Assumptions!$C$28)/Assumptions!$C$6</f>
        <v>92.6514556064287</v>
      </c>
    </row>
    <row r="11" customFormat="false" ht="15" hidden="false" customHeight="false" outlineLevel="0" collapsed="false">
      <c r="B11" s="2" t="s">
        <v>92</v>
      </c>
    </row>
  </sheetData>
  <mergeCells count="2">
    <mergeCell ref="B1:G1"/>
    <mergeCell ref="B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</cols>
  <sheetData>
    <row r="1" customFormat="false" ht="17.35" hidden="false" customHeight="false" outlineLevel="0" collapsed="false">
      <c r="B1" s="1" t="s">
        <v>93</v>
      </c>
    </row>
    <row r="41" customFormat="false" ht="15" hidden="false" customHeight="false" outlineLevel="0" collapsed="false">
      <c r="B41" s="10" t="s">
        <v>94</v>
      </c>
    </row>
    <row r="42" customFormat="false" ht="15" hidden="false" customHeight="false" outlineLevel="0" collapsed="false">
      <c r="B42" s="4" t="s">
        <v>95</v>
      </c>
      <c r="C42" s="39" t="n">
        <f aca="false">'DCF Model'!C33</f>
        <v>59.1</v>
      </c>
    </row>
    <row r="43" customFormat="false" ht="15" hidden="false" customHeight="false" outlineLevel="0" collapsed="false">
      <c r="B43" s="4" t="s">
        <v>96</v>
      </c>
      <c r="C43" s="39" t="n">
        <f aca="false">'DCF Model'!C30</f>
        <v>83.2626941789997</v>
      </c>
    </row>
    <row r="44" customFormat="false" ht="15" hidden="false" customHeight="false" outlineLevel="0" collapsed="false">
      <c r="B44" s="4" t="s">
        <v>97</v>
      </c>
      <c r="C44" s="39" t="n">
        <f aca="false">'DCF Model'!C35</f>
        <v>72.72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2026-08-05T20:39:02Z</dcterms:created>
  <dc:creator>openpyxl</dc:creator>
  <dc:description/>
  <dc:language>en-US</dc:language>
  <cp:lastModifiedBy/>
  <dcterms:modified xsi:type="dcterms:W3CDTF">2026-08-05T16:39:06Z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